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econference.sharepoint.com/sites/SECAdministration/Shared Documents/SEC Website/Solid Waste Authority/"/>
    </mc:Choice>
  </mc:AlternateContent>
  <xr:revisionPtr revIDLastSave="40" documentId="8_{2D569054-D84B-411F-9E58-7549B7EF732B}" xr6:coauthVersionLast="47" xr6:coauthVersionMax="47" xr10:uidLastSave="{3142FFA0-6E76-460E-89B4-7A9410968A47}"/>
  <bookViews>
    <workbookView xWindow="-120" yWindow="-120" windowWidth="29040" windowHeight="15720" xr2:uid="{72552F8E-5854-4ED9-A1F3-5997547CE88D}"/>
  </bookViews>
  <sheets>
    <sheet name="Follow-Up Communities" sheetId="1" r:id="rId1"/>
    <sheet name="Sheet1"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J2" i="2"/>
  <c r="I2" i="2"/>
  <c r="O2" i="2" s="1"/>
  <c r="M2" i="2"/>
  <c r="P2" i="2" s="1"/>
  <c r="B17" i="1"/>
  <c r="E17" i="1"/>
  <c r="G17" i="1"/>
  <c r="I17" i="1"/>
  <c r="O17" i="1" s="1"/>
  <c r="Q17" i="1" s="1"/>
  <c r="M17" i="1"/>
  <c r="P17" i="1"/>
  <c r="B18" i="1"/>
  <c r="E18" i="1"/>
  <c r="I18" i="1" s="1"/>
  <c r="G18" i="1"/>
  <c r="M18" i="1"/>
  <c r="P18" i="1"/>
  <c r="B19" i="1"/>
  <c r="M19" i="1" s="1"/>
  <c r="P19" i="1" s="1"/>
  <c r="C19" i="1"/>
  <c r="I19" i="1" s="1"/>
  <c r="E19" i="1"/>
  <c r="E29" i="1" s="1"/>
  <c r="G19" i="1"/>
  <c r="G29" i="1" s="1"/>
  <c r="B20" i="1"/>
  <c r="D20" i="1"/>
  <c r="E20" i="1"/>
  <c r="G20" i="1"/>
  <c r="I20" i="1"/>
  <c r="M20" i="1"/>
  <c r="O20" i="1"/>
  <c r="P20" i="1"/>
  <c r="Q20" i="1"/>
  <c r="B21" i="1"/>
  <c r="M21" i="1" s="1"/>
  <c r="P21" i="1" s="1"/>
  <c r="C21" i="1"/>
  <c r="D21" i="1"/>
  <c r="E21" i="1"/>
  <c r="G21" i="1"/>
  <c r="G31" i="1" s="1"/>
  <c r="I21" i="1"/>
  <c r="O21" i="1" s="1"/>
  <c r="Q21" i="1" s="1"/>
  <c r="B22" i="1"/>
  <c r="B32" i="1" s="1"/>
  <c r="C22" i="1"/>
  <c r="D32" i="1"/>
  <c r="E22" i="1"/>
  <c r="E32" i="1" s="1"/>
  <c r="I22" i="1"/>
  <c r="M22" i="1"/>
  <c r="O22" i="1"/>
  <c r="P22" i="1"/>
  <c r="Q22" i="1"/>
  <c r="B23" i="1"/>
  <c r="B33" i="1" s="1"/>
  <c r="C23" i="1"/>
  <c r="D23" i="1"/>
  <c r="G23" i="1"/>
  <c r="E23" i="1" s="1"/>
  <c r="M23" i="1"/>
  <c r="P23" i="1" s="1"/>
  <c r="B27" i="1"/>
  <c r="D27" i="1" s="1"/>
  <c r="C27" i="1"/>
  <c r="E27" i="1"/>
  <c r="F27" i="1"/>
  <c r="G27" i="1"/>
  <c r="H27" i="1"/>
  <c r="I27" i="1"/>
  <c r="E38" i="1" s="1"/>
  <c r="B28" i="1"/>
  <c r="C28" i="1"/>
  <c r="D28" i="1"/>
  <c r="E28" i="1"/>
  <c r="F28" i="1"/>
  <c r="G28" i="1"/>
  <c r="H28" i="1"/>
  <c r="B29" i="1"/>
  <c r="D29" i="1" s="1"/>
  <c r="B30" i="1"/>
  <c r="C30" i="1"/>
  <c r="C41" i="1" s="1"/>
  <c r="D30" i="1"/>
  <c r="D41" i="1" s="1"/>
  <c r="E30" i="1"/>
  <c r="E41" i="1" s="1"/>
  <c r="F30" i="1"/>
  <c r="F41" i="1" s="1"/>
  <c r="G30" i="1"/>
  <c r="G41" i="1" s="1"/>
  <c r="H30" i="1"/>
  <c r="H41" i="1" s="1"/>
  <c r="I30" i="1"/>
  <c r="I41" i="1" s="1"/>
  <c r="B31" i="1"/>
  <c r="H31" i="1" s="1"/>
  <c r="C31" i="1"/>
  <c r="D31" i="1"/>
  <c r="E31" i="1"/>
  <c r="F31" i="1"/>
  <c r="G38" i="1"/>
  <c r="H38" i="1"/>
  <c r="I38" i="1"/>
  <c r="Q2" i="2" l="1"/>
  <c r="C42" i="1"/>
  <c r="H33" i="1"/>
  <c r="F33" i="1"/>
  <c r="O18" i="1"/>
  <c r="Q18" i="1" s="1"/>
  <c r="I28" i="1"/>
  <c r="I23" i="1"/>
  <c r="E33" i="1"/>
  <c r="O19" i="1"/>
  <c r="Q19" i="1" s="1"/>
  <c r="I29" i="1"/>
  <c r="I40" i="1" s="1"/>
  <c r="F42" i="1"/>
  <c r="E42" i="1"/>
  <c r="F32" i="1"/>
  <c r="I32" i="1"/>
  <c r="I43" i="1" s="1"/>
  <c r="C32" i="1"/>
  <c r="C43" i="1" s="1"/>
  <c r="H32" i="1"/>
  <c r="H43" i="1" s="1"/>
  <c r="G32" i="1"/>
  <c r="G43" i="1" s="1"/>
  <c r="H42" i="1"/>
  <c r="D33" i="1"/>
  <c r="G42" i="1"/>
  <c r="E34" i="1"/>
  <c r="D34" i="1"/>
  <c r="D38" i="1"/>
  <c r="C33" i="1"/>
  <c r="C38" i="1"/>
  <c r="H29" i="1"/>
  <c r="H40" i="1" s="1"/>
  <c r="G33" i="1"/>
  <c r="F38" i="1"/>
  <c r="F29" i="1"/>
  <c r="F40" i="1" s="1"/>
  <c r="I31" i="1"/>
  <c r="I42" i="1" s="1"/>
  <c r="C29" i="1"/>
  <c r="H34" i="1" l="1"/>
  <c r="O23" i="1"/>
  <c r="Q23" i="1" s="1"/>
  <c r="I33" i="1"/>
  <c r="I44" i="1" s="1"/>
  <c r="F44" i="1"/>
  <c r="F34" i="1"/>
  <c r="G34" i="1"/>
  <c r="D40" i="1"/>
  <c r="I34" i="1"/>
  <c r="F43" i="1"/>
  <c r="G40" i="1"/>
  <c r="D43" i="1"/>
  <c r="E39" i="1"/>
  <c r="D39" i="1"/>
  <c r="F39" i="1"/>
  <c r="F45" i="1" s="1"/>
  <c r="G39" i="1"/>
  <c r="H39" i="1"/>
  <c r="I39" i="1"/>
  <c r="C39" i="1"/>
  <c r="E43" i="1"/>
  <c r="C40" i="1"/>
  <c r="C34" i="1"/>
  <c r="D42" i="1"/>
  <c r="E40" i="1"/>
  <c r="H44" i="1" l="1"/>
  <c r="D44" i="1"/>
  <c r="D45" i="1" s="1"/>
  <c r="E44" i="1"/>
  <c r="E45" i="1" s="1"/>
  <c r="C44" i="1"/>
  <c r="C45" i="1" s="1"/>
  <c r="H45" i="1"/>
  <c r="G44" i="1"/>
  <c r="G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tc={CF93326F-A4BB-42DA-BCCE-1D03A70D3A0A}</author>
    <author>tc={6D9307F1-6A0A-4ECA-BD1D-0F41A44AFEFE}</author>
    <author>tc={286D2089-EF04-47DB-8B91-A94DCFAEF0DF}</author>
    <author>tc={4A0AF55F-2A64-4631-8336-3B7F9A7CB676}</author>
    <author>tc={BCCDABE3-076D-4CC0-83EE-FC9C6A9FE80B}</author>
  </authors>
  <commentList>
    <comment ref="N18" authorId="0" shapeId="0" xr:uid="{CF93326F-A4BB-42DA-BCCE-1D03A70D3A0A}">
      <text>
        <t>[Threaded comment]
Your version of Excel allows you to read this threaded comment; however, any edits to it will get removed if the file is opened in a newer version of Excel. Learn more: https://go.microsoft.com/fwlink/?linkid=870924
Comment:
    Note this number came from this publicly available fy 25 proposed budget not what Caitlyn sent since that only had expenses.</t>
      </text>
    </comment>
    <comment ref="D19" authorId="1" shapeId="0" xr:uid="{6D9307F1-6A0A-4ECA-BD1D-0F41A44AFEFE}">
      <text>
        <t>[Threaded comment]
Your version of Excel allows you to read this threaded comment; however, any edits to it will get removed if the file is opened in a newer version of Excel. Learn more: https://go.microsoft.com/fwlink/?linkid=870924
Comment:
    Per email from contact, this number is reported as contracted services in the budget, but contracted services is the cost of having their waste hauled away and shipped to the lower 48.</t>
      </text>
    </comment>
    <comment ref="G19" authorId="2" shapeId="0" xr:uid="{286D2089-EF04-47DB-8B91-A94DCFAEF0DF}">
      <text>
        <t>[Threaded comment]
Your version of Excel allows you to read this threaded comment; however, any edits to it will get removed if the file is opened in a newer version of Excel. Learn more: https://go.microsoft.com/fwlink/?linkid=870924
Comment:
    Note- this includes some cash expense for fixed assets/machinery as well as principal payments on a loan (presumably for equipment). Note- big expense in FY25 (over 300k) for equipment after several years of 0$. FY26 projected is 55k. Going to use 55k here for that plus the 208k debt service</t>
      </text>
    </comment>
    <comment ref="D22" authorId="3" shapeId="0" xr:uid="{4A0AF55F-2A64-4631-8336-3B7F9A7CB676}">
      <text>
        <t>[Threaded comment]
Your version of Excel allows you to read this threaded comment; however, any edits to it will get removed if the file is opened in a newer version of Excel. Learn more: https://go.microsoft.com/fwlink/?linkid=870924
Comment:
    They bring their waste to Klawock, so we are assuming here that vehicle fuel is their primary transportation expense for moving the waste
Reply:
    This is equal to dump fees and equipment fuel</t>
      </text>
    </comment>
    <comment ref="D23" authorId="4" shapeId="0" xr:uid="{BCCDABE3-076D-4CC0-83EE-FC9C6A9FE80B}">
      <text>
        <t>[Threaded comment]
Your version of Excel allows you to read this threaded comment; however, any edits to it will get removed if the file is opened in a newer version of Excel. Learn more: https://go.microsoft.com/fwlink/?linkid=870924
Comment:
    We know Skagway ships waste, and presumably this is what their contractual services covers since there is no separate line item for that. We also include hazardous waste cost, incinerator cost, and recycling expenses here</t>
      </text>
    </comment>
  </commentList>
</comments>
</file>

<file path=xl/sharedStrings.xml><?xml version="1.0" encoding="utf-8"?>
<sst xmlns="http://schemas.openxmlformats.org/spreadsheetml/2006/main" count="124" uniqueCount="58">
  <si>
    <t xml:space="preserve">This sheet includes information about the highest cost communities regardless of category that we followed up with for more information. </t>
  </si>
  <si>
    <t>Community Name</t>
  </si>
  <si>
    <t>Question 1 Response</t>
  </si>
  <si>
    <t>Question 2 Response</t>
  </si>
  <si>
    <t>Question 3 Response</t>
  </si>
  <si>
    <t>Source</t>
  </si>
  <si>
    <t>Gustavus</t>
  </si>
  <si>
    <t>Payroll Expense (61.9% of budget), Shipping/freight (19.83%), Contractual svcs (3.54%), and supplies (3.34%)</t>
  </si>
  <si>
    <t>Payroll</t>
  </si>
  <si>
    <t>Attached simplified budget sheet for disposal and recycling FY25</t>
  </si>
  <si>
    <t>Emailed doc</t>
  </si>
  <si>
    <t>Thorne Bay</t>
  </si>
  <si>
    <t>Equipment &amp; Building Maintenance, Repairs, Labor Costs, and Surface water testing</t>
  </si>
  <si>
    <t>Surface water testing- one of only a few communities required to do this</t>
  </si>
  <si>
    <t>Received a copy from Caitlyn</t>
  </si>
  <si>
    <t>https://thornebay-ak.gov/wp-content/uploads/2024/10/2024-Non-Ordinance-24-06-18-01-FY25-Budget-1.pdf</t>
  </si>
  <si>
    <t>Sitka</t>
  </si>
  <si>
    <t>CBS' largest line item is collection/contracted services, including pick up, compacting and shipping to Roosevelt landfill in WA. They don't have a broken down bill unfortunately for specific aspects of the operation.</t>
  </si>
  <si>
    <t>None in particular unique to Sitka. Thinks prices are high due to how remote it is paired with volatility in oil, scrap, and recycling prices that limit the community's ability to recuperate costs.</t>
  </si>
  <si>
    <t>https://www.cityofsitka.com/media/Finance/FY2026%20Budget</t>
  </si>
  <si>
    <t>Petersburg</t>
  </si>
  <si>
    <t>Staffing, Bale Disposal (including shipping), Machinery &amp; Equipment</t>
  </si>
  <si>
    <t>Possibly Sanitation expenses burning 15k gallons used oil to heat baler facility, so there is disposal of sludge if it is too contaminated to be burned since it comes from commercial fishing fleet. Bears getting into refuse receptacles and bear proofing existing bins in hardest hit neighborhoods</t>
  </si>
  <si>
    <t>Attached FY26 budget</t>
  </si>
  <si>
    <t>Wrangell</t>
  </si>
  <si>
    <t>MSW Shipping/Disposal (40%), Capital expenses (30%), staff expenses (just over 30%), vehicle and equipment maintenance (about 10%),</t>
  </si>
  <si>
    <t>Shipping and disposal costs</t>
  </si>
  <si>
    <t>Link Provided</t>
  </si>
  <si>
    <t>https://www.wrangell.com/sites/default/files/fileattachments/finance/page/3372/2024.08.15_fy25_annual_budget.pdf</t>
  </si>
  <si>
    <t>Craig</t>
  </si>
  <si>
    <t>Tipping fees, salary and support from the office for billing</t>
  </si>
  <si>
    <t>Truck for hauling trash to Klawock, and freight for repair parts and specialty mechanics to come fix issues.</t>
  </si>
  <si>
    <t>Provided</t>
  </si>
  <si>
    <t>https://www.craigak.com/media/25936</t>
  </si>
  <si>
    <t>Skagway</t>
  </si>
  <si>
    <t>Shipping costs, fuel for incinerator</t>
  </si>
  <si>
    <t>tourism industry in the summer</t>
  </si>
  <si>
    <t>Haven't done follow up to megan's outreach since it sounded like they wanted to follow up first</t>
  </si>
  <si>
    <t>https://www.skagway.org/media/79076</t>
  </si>
  <si>
    <t>*Note- actual expenses were used if there were recent actuals for a complete year. If unavailable, a recent budget for a complete year was used.</t>
  </si>
  <si>
    <t>Major Cost Categories Total</t>
  </si>
  <si>
    <t>Tons of Waste (all kinds)</t>
  </si>
  <si>
    <t>Payroll (including wages + fringe)</t>
  </si>
  <si>
    <t>Waste Transportation/Filling (if applicable)</t>
  </si>
  <si>
    <t>General Operating Expenses (Bldg/Grnd Maintenance &amp; Repair, electricity, wifi, dues/fees, vehicle, training, permits etc)</t>
  </si>
  <si>
    <t>Supplies</t>
  </si>
  <si>
    <t>Equipment, Repair/Replacement</t>
  </si>
  <si>
    <t>Contractual Services</t>
  </si>
  <si>
    <t>Total</t>
  </si>
  <si>
    <t>Total Income</t>
  </si>
  <si>
    <t>Total Expenses</t>
  </si>
  <si>
    <t>Income/Ton</t>
  </si>
  <si>
    <t>Expenses/Ton</t>
  </si>
  <si>
    <t>Cost per Ton for Major Cost Categories</t>
  </si>
  <si>
    <t>Average</t>
  </si>
  <si>
    <t>Percent of All Expenses by Category</t>
  </si>
  <si>
    <t>Cost/Ton</t>
  </si>
  <si>
    <t>Klawock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</si>
</sst>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3">
    <xf numFmtId="0" fontId="0" fillId="0" borderId="0" xfId="0"/>
    <xf numFmtId="164" fontId="2" fillId="0" borderId="0" xfId="0" applyNumberFormat="1" applyFont="1"/>
    <xf numFmtId="0" fontId="2" fillId="0" borderId="0" xfId="0" applyFont="1"/>
    <xf numFmtId="164" fontId="0" fillId="0" borderId="0" xfId="2" applyNumberFormat="1" applyFont="1"/>
    <xf numFmtId="0" fontId="2" fillId="0" borderId="0" xfId="0" applyFont="1" applyAlignment="1">
      <alignment wrapText="1"/>
    </xf>
    <xf numFmtId="44" fontId="2" fillId="0" borderId="0" xfId="0" applyNumberFormat="1" applyFont="1"/>
    <xf numFmtId="165" fontId="0" fillId="0" borderId="0" xfId="0" applyNumberFormat="1"/>
    <xf numFmtId="44" fontId="0" fillId="0" borderId="0" xfId="0" applyNumberFormat="1"/>
    <xf numFmtId="44" fontId="0" fillId="0" borderId="0" xfId="1" applyFont="1"/>
    <xf numFmtId="0" fontId="3" fillId="0" borderId="0" xfId="3"/>
    <xf numFmtId="0" fontId="0" fillId="2" borderId="0" xfId="0" applyFill="1"/>
    <xf numFmtId="0" fontId="0" fillId="0" borderId="0" xfId="0" applyAlignment="1">
      <alignment horizontal="left" vertical="center" wrapText="1"/>
    </xf>
    <xf numFmtId="0" fontId="2" fillId="0" borderId="0" xfId="0" applyFont="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ortherneconomicsinc.sharepoint.com/Projects/212%20RESPEC/12521201%20SEC%20Solid%20Waste%20Plan/Analysis/Highest%20Cost%20Communities%20Follow%20Up/SEC%20SW%20Community%20High%20Cost%20Communities%20Identification.xlsm" TargetMode="External"/><Relationship Id="rId1" Type="http://schemas.openxmlformats.org/officeDocument/2006/relationships/externalLinkPath" Target="/Projects/212%20RESPEC/12521201%20SEC%20Solid%20Waste%20Plan/Analysis/Highest%20Cost%20Communities%20Follow%20Up/SEC%20SW%20Community%20High%20Cost%20Communities%20Identific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sheetName val="Waste Distribution Network"/>
      <sheetName val="Highest Cost Communities"/>
      <sheetName val="Receivers"/>
      <sheetName val="Exporters"/>
      <sheetName val="Self Contained"/>
      <sheetName val="No System"/>
      <sheetName val="Unknown"/>
    </sheetNames>
    <sheetDataSet>
      <sheetData sheetId="0"/>
      <sheetData sheetId="1"/>
      <sheetData sheetId="2"/>
      <sheetData sheetId="3">
        <row r="5">
          <cell r="H5">
            <v>2720.8</v>
          </cell>
        </row>
        <row r="6">
          <cell r="H6">
            <v>346.52</v>
          </cell>
        </row>
      </sheetData>
      <sheetData sheetId="4">
        <row r="5">
          <cell r="H5">
            <v>8200</v>
          </cell>
        </row>
        <row r="6">
          <cell r="H6">
            <v>1678.7</v>
          </cell>
        </row>
        <row r="8">
          <cell r="H8">
            <v>900</v>
          </cell>
        </row>
      </sheetData>
      <sheetData sheetId="5">
        <row r="5">
          <cell r="H5">
            <v>1259.25</v>
          </cell>
        </row>
        <row r="7">
          <cell r="H7">
            <v>275.63249999999999</v>
          </cell>
        </row>
      </sheetData>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Colleen Young" id="{0286A109-0E91-4AF4-B072-E2548BC5F1D7}" userId="S::colleen.young@norecon.com::f81c55f0-759f-4662-93b4-33d51762fe95" providerId="AD"/>
  <person displayName="Colleen File" id="{F4A08A93-2A3D-4D87-903C-474D5972738D}" userId="S::colleen.file_norecon.com#ext#@respec.onmicrosoft.com::e3de56e3-1265-4ea0-a645-1314d9a1c6d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18" dT="2026-01-23T19:15:01.61" personId="{0286A109-0E91-4AF4-B072-E2548BC5F1D7}" id="{CF93326F-A4BB-42DA-BCCE-1D03A70D3A0A}">
    <text>Note this number came from this publicly available fy 25 proposed budget not what Caitlyn sent since that only had expenses.</text>
  </threadedComment>
  <threadedComment ref="D19" dT="2026-01-22T21:34:33.34" personId="{0286A109-0E91-4AF4-B072-E2548BC5F1D7}" id="{6D9307F1-6A0A-4ECA-BD1D-0F41A44AFEFE}">
    <text>Per email from contact, this number is reported as contracted services in the budget, but contracted services is the cost of having their waste hauled away and shipped to the lower 48.</text>
  </threadedComment>
  <threadedComment ref="G19" dT="2026-01-22T21:33:42.48" personId="{0286A109-0E91-4AF4-B072-E2548BC5F1D7}" id="{286D2089-EF04-47DB-8B91-A94DCFAEF0DF}">
    <text>Note- this includes some cash expense for fixed assets/machinery as well as principal payments on a loan (presumably for equipment). Note- big expense in FY25 (over 300k) for equipment after several years of 0$. FY26 projected is 55k. Going to use 55k here for that plus the 208k debt service</text>
  </threadedComment>
  <threadedComment ref="D22" dT="2026-01-23T00:30:45.15" personId="{0286A109-0E91-4AF4-B072-E2548BC5F1D7}" id="{4A0AF55F-2A64-4631-8336-3B7F9A7CB676}">
    <text>They bring their waste to Klawock, so we are assuming here that vehicle fuel is their primary transportation expense for moving the waste</text>
  </threadedComment>
  <threadedComment ref="D22" dT="2026-02-27T01:09:53.09" personId="{F4A08A93-2A3D-4D87-903C-474D5972738D}" id="{B1FD00E0-08F1-4B7D-B4BE-3C72C6EFF9DC}" parentId="{4A0AF55F-2A64-4631-8336-3B7F9A7CB676}">
    <text>This is equal to dump fees and equipment fuel</text>
  </threadedComment>
  <threadedComment ref="D23" dT="2026-01-23T00:40:13.76" personId="{0286A109-0E91-4AF4-B072-E2548BC5F1D7}" id="{BCCDABE3-076D-4CC0-83EE-FC9C6A9FE80B}">
    <text>We know Skagway ships waste, and presumably this is what their contractual services covers since there is no separate line item for that. We also include hazardous waste cost, incinerator cost, and recycling expenses here</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www.craigak.com/media/25936" TargetMode="External"/><Relationship Id="rId7" Type="http://schemas.openxmlformats.org/officeDocument/2006/relationships/comments" Target="../comments1.xml"/><Relationship Id="rId2" Type="http://schemas.openxmlformats.org/officeDocument/2006/relationships/hyperlink" Target="https://www.cityofsitka.com/media/Finance/FY2026%20Budget" TargetMode="External"/><Relationship Id="rId1" Type="http://schemas.openxmlformats.org/officeDocument/2006/relationships/hyperlink" Target="https://thornebay-ak.gov/wp-content/uploads/2024/10/2024-Non-Ordinance-24-06-18-01-FY25-Budget-1.pdf" TargetMode="External"/><Relationship Id="rId6" Type="http://schemas.openxmlformats.org/officeDocument/2006/relationships/vmlDrawing" Target="../drawings/vmlDrawing1.vml"/><Relationship Id="rId5" Type="http://schemas.openxmlformats.org/officeDocument/2006/relationships/hyperlink" Target="https://www.wrangell.com/sites/default/files/fileattachments/finance/page/3372/2024.08.15_fy25_annual_budget.pdf" TargetMode="External"/><Relationship Id="rId4" Type="http://schemas.openxmlformats.org/officeDocument/2006/relationships/hyperlink" Target="https://www.skagway.org/media/79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47B8-0817-4C51-9AA7-243CC2650B25}">
  <dimension ref="A1:Q45"/>
  <sheetViews>
    <sheetView tabSelected="1" workbookViewId="0">
      <selection sqref="A1:H3"/>
    </sheetView>
  </sheetViews>
  <sheetFormatPr defaultRowHeight="15" x14ac:dyDescent="0.25"/>
  <cols>
    <col min="1" max="1" width="23.42578125" customWidth="1"/>
    <col min="2" max="2" width="23.140625" customWidth="1"/>
    <col min="3" max="3" width="18.42578125" bestFit="1" customWidth="1"/>
    <col min="4" max="4" width="20.140625" customWidth="1"/>
    <col min="5" max="5" width="35" customWidth="1"/>
    <col min="6" max="6" width="23.28515625" customWidth="1"/>
    <col min="7" max="7" width="30.42578125" customWidth="1"/>
    <col min="8" max="8" width="16.140625" customWidth="1"/>
    <col min="9" max="9" width="13.85546875" bestFit="1" customWidth="1"/>
    <col min="12" max="12" width="17.42578125" customWidth="1"/>
    <col min="13" max="13" width="12.5703125" customWidth="1"/>
    <col min="14" max="15" width="13.85546875" bestFit="1" customWidth="1"/>
    <col min="16" max="16" width="10.85546875" bestFit="1" customWidth="1"/>
    <col min="17" max="17" width="12.42578125" bestFit="1" customWidth="1"/>
  </cols>
  <sheetData>
    <row r="1" spans="1:17" ht="14.45" customHeight="1" x14ac:dyDescent="0.25">
      <c r="A1" s="11" t="s">
        <v>0</v>
      </c>
      <c r="B1" s="11"/>
      <c r="C1" s="11"/>
      <c r="D1" s="11"/>
      <c r="E1" s="11"/>
      <c r="F1" s="11"/>
      <c r="G1" s="11"/>
      <c r="H1" s="11"/>
    </row>
    <row r="2" spans="1:17" x14ac:dyDescent="0.25">
      <c r="A2" s="11"/>
      <c r="B2" s="11"/>
      <c r="C2" s="11"/>
      <c r="D2" s="11"/>
      <c r="E2" s="11"/>
      <c r="F2" s="11"/>
      <c r="G2" s="11"/>
      <c r="H2" s="11"/>
    </row>
    <row r="3" spans="1:17" x14ac:dyDescent="0.25">
      <c r="A3" s="11"/>
      <c r="B3" s="11"/>
      <c r="C3" s="11"/>
      <c r="D3" s="11"/>
      <c r="E3" s="11"/>
      <c r="F3" s="11"/>
      <c r="G3" s="11"/>
      <c r="H3" s="11"/>
    </row>
    <row r="5" spans="1:17" x14ac:dyDescent="0.25">
      <c r="A5" s="2" t="s">
        <v>1</v>
      </c>
      <c r="B5" s="2" t="s">
        <v>2</v>
      </c>
      <c r="C5" s="2" t="s">
        <v>3</v>
      </c>
      <c r="D5" s="2" t="s">
        <v>4</v>
      </c>
      <c r="E5" s="2" t="s">
        <v>5</v>
      </c>
    </row>
    <row r="6" spans="1:17" x14ac:dyDescent="0.25">
      <c r="A6" t="s">
        <v>6</v>
      </c>
      <c r="B6" t="s">
        <v>7</v>
      </c>
      <c r="C6" t="s">
        <v>8</v>
      </c>
      <c r="D6" t="s">
        <v>9</v>
      </c>
      <c r="E6" t="s">
        <v>10</v>
      </c>
    </row>
    <row r="7" spans="1:17" x14ac:dyDescent="0.25">
      <c r="A7" t="s">
        <v>11</v>
      </c>
      <c r="B7" t="s">
        <v>12</v>
      </c>
      <c r="C7" t="s">
        <v>13</v>
      </c>
      <c r="D7" t="s">
        <v>14</v>
      </c>
      <c r="E7" s="9" t="s">
        <v>15</v>
      </c>
    </row>
    <row r="8" spans="1:17" x14ac:dyDescent="0.25">
      <c r="A8" t="s">
        <v>16</v>
      </c>
      <c r="B8" t="s">
        <v>17</v>
      </c>
      <c r="C8" t="s">
        <v>18</v>
      </c>
      <c r="E8" s="9" t="s">
        <v>19</v>
      </c>
    </row>
    <row r="9" spans="1:17" x14ac:dyDescent="0.25">
      <c r="A9" t="s">
        <v>20</v>
      </c>
      <c r="B9" t="s">
        <v>21</v>
      </c>
      <c r="C9" t="s">
        <v>22</v>
      </c>
      <c r="D9" t="s">
        <v>23</v>
      </c>
      <c r="E9" t="s">
        <v>10</v>
      </c>
    </row>
    <row r="10" spans="1:17" x14ac:dyDescent="0.25">
      <c r="A10" t="s">
        <v>24</v>
      </c>
      <c r="B10" t="s">
        <v>25</v>
      </c>
      <c r="C10" t="s">
        <v>26</v>
      </c>
      <c r="D10" t="s">
        <v>27</v>
      </c>
      <c r="E10" s="9" t="s">
        <v>28</v>
      </c>
    </row>
    <row r="11" spans="1:17" x14ac:dyDescent="0.25">
      <c r="A11" s="10" t="s">
        <v>29</v>
      </c>
      <c r="B11" s="10" t="s">
        <v>30</v>
      </c>
      <c r="C11" t="s">
        <v>31</v>
      </c>
      <c r="D11" t="s">
        <v>32</v>
      </c>
      <c r="E11" s="9" t="s">
        <v>33</v>
      </c>
    </row>
    <row r="12" spans="1:17" x14ac:dyDescent="0.25">
      <c r="A12" t="s">
        <v>34</v>
      </c>
      <c r="B12" t="s">
        <v>35</v>
      </c>
      <c r="C12" t="s">
        <v>36</v>
      </c>
      <c r="D12" t="s">
        <v>37</v>
      </c>
      <c r="E12" s="9" t="s">
        <v>38</v>
      </c>
    </row>
    <row r="13" spans="1:17" x14ac:dyDescent="0.25">
      <c r="A13" t="s">
        <v>39</v>
      </c>
    </row>
    <row r="15" spans="1:17" x14ac:dyDescent="0.25">
      <c r="C15" s="12" t="s">
        <v>40</v>
      </c>
      <c r="D15" s="12"/>
      <c r="E15" s="12"/>
      <c r="F15" s="12"/>
      <c r="G15" s="12"/>
      <c r="H15" s="12"/>
    </row>
    <row r="16" spans="1:17" ht="60" x14ac:dyDescent="0.25">
      <c r="A16" s="2" t="s">
        <v>1</v>
      </c>
      <c r="B16" s="4" t="s">
        <v>41</v>
      </c>
      <c r="C16" s="4" t="s">
        <v>42</v>
      </c>
      <c r="D16" s="4" t="s">
        <v>43</v>
      </c>
      <c r="E16" s="4" t="s">
        <v>44</v>
      </c>
      <c r="F16" s="4" t="s">
        <v>45</v>
      </c>
      <c r="G16" s="4" t="s">
        <v>46</v>
      </c>
      <c r="H16" s="4" t="s">
        <v>47</v>
      </c>
      <c r="I16" s="4" t="s">
        <v>48</v>
      </c>
      <c r="L16" s="2" t="s">
        <v>1</v>
      </c>
      <c r="M16" s="4" t="s">
        <v>41</v>
      </c>
      <c r="N16" s="2" t="s">
        <v>49</v>
      </c>
      <c r="O16" s="2" t="s">
        <v>50</v>
      </c>
      <c r="P16" s="2" t="s">
        <v>51</v>
      </c>
      <c r="Q16" s="2" t="s">
        <v>52</v>
      </c>
    </row>
    <row r="17" spans="1:17" x14ac:dyDescent="0.25">
      <c r="A17" t="s">
        <v>6</v>
      </c>
      <c r="B17" s="6">
        <f>'[1]Self Contained'!H7</f>
        <v>275.63249999999999</v>
      </c>
      <c r="C17" s="8">
        <v>92159.679999999993</v>
      </c>
      <c r="D17" s="8">
        <v>29516.65</v>
      </c>
      <c r="E17" s="8">
        <f>(2420.97+1920.09+2683.5+2483.88+957.1+240.07)</f>
        <v>10705.609999999999</v>
      </c>
      <c r="F17" s="8">
        <v>4974.9399999999996</v>
      </c>
      <c r="G17" s="8">
        <f>2767.46+7050.15</f>
        <v>9817.61</v>
      </c>
      <c r="H17" s="8">
        <v>5273</v>
      </c>
      <c r="I17" s="7">
        <f t="shared" ref="I17:I23" si="0">SUM(C17:H17)</f>
        <v>152447.49</v>
      </c>
      <c r="L17" t="s">
        <v>6</v>
      </c>
      <c r="M17" s="6">
        <f t="shared" ref="M17:M23" si="1">B17</f>
        <v>275.63249999999999</v>
      </c>
      <c r="N17" s="7">
        <v>142682.39000000001</v>
      </c>
      <c r="O17" s="7">
        <f t="shared" ref="O17:O23" si="2">I17</f>
        <v>152447.49</v>
      </c>
      <c r="P17" s="7">
        <f t="shared" ref="P17:Q23" si="3">N17/$M17</f>
        <v>517.65444931203695</v>
      </c>
      <c r="Q17" s="7">
        <f t="shared" si="3"/>
        <v>553.08241952599928</v>
      </c>
    </row>
    <row r="18" spans="1:17" x14ac:dyDescent="0.25">
      <c r="A18" t="s">
        <v>11</v>
      </c>
      <c r="B18" s="6">
        <f>[1]Receivers!H6</f>
        <v>346.52</v>
      </c>
      <c r="C18" s="8">
        <v>163554.17000000001</v>
      </c>
      <c r="D18" s="8">
        <v>0</v>
      </c>
      <c r="E18" s="8">
        <f>13770+100+750+3800+5000</f>
        <v>23420</v>
      </c>
      <c r="F18" s="8">
        <v>1750</v>
      </c>
      <c r="G18" s="8">
        <f>17456.31+22500</f>
        <v>39956.31</v>
      </c>
      <c r="H18" s="8">
        <v>2500</v>
      </c>
      <c r="I18" s="7">
        <f t="shared" si="0"/>
        <v>231180.48</v>
      </c>
      <c r="L18" t="s">
        <v>11</v>
      </c>
      <c r="M18" s="6">
        <f t="shared" si="1"/>
        <v>346.52</v>
      </c>
      <c r="N18" s="7">
        <v>187520</v>
      </c>
      <c r="O18" s="7">
        <f t="shared" si="2"/>
        <v>231180.48</v>
      </c>
      <c r="P18" s="7">
        <f t="shared" si="3"/>
        <v>541.15202585709346</v>
      </c>
      <c r="Q18" s="7">
        <f t="shared" si="3"/>
        <v>667.14902458732547</v>
      </c>
    </row>
    <row r="19" spans="1:17" x14ac:dyDescent="0.25">
      <c r="A19" t="s">
        <v>16</v>
      </c>
      <c r="B19" s="6">
        <f>[1]Exporters!H5</f>
        <v>8200</v>
      </c>
      <c r="C19" s="8">
        <f>193238.32+143717</f>
        <v>336955.32</v>
      </c>
      <c r="D19" s="8">
        <v>4336365</v>
      </c>
      <c r="E19" s="8">
        <f>5406561.75-D19-F19</f>
        <v>1028196.75</v>
      </c>
      <c r="F19" s="8">
        <v>42000</v>
      </c>
      <c r="G19" s="8">
        <f>55000+208798</f>
        <v>263798</v>
      </c>
      <c r="H19" s="8">
        <v>0</v>
      </c>
      <c r="I19" s="7">
        <f t="shared" si="0"/>
        <v>6007315.0700000003</v>
      </c>
      <c r="L19" t="s">
        <v>16</v>
      </c>
      <c r="M19" s="6">
        <f t="shared" si="1"/>
        <v>8200</v>
      </c>
      <c r="N19" s="7">
        <v>6335914</v>
      </c>
      <c r="O19" s="7">
        <f t="shared" si="2"/>
        <v>6007315.0700000003</v>
      </c>
      <c r="P19" s="7">
        <f t="shared" si="3"/>
        <v>772.6724390243902</v>
      </c>
      <c r="Q19" s="7">
        <f t="shared" si="3"/>
        <v>732.59939878048783</v>
      </c>
    </row>
    <row r="20" spans="1:17" x14ac:dyDescent="0.25">
      <c r="A20" t="s">
        <v>20</v>
      </c>
      <c r="B20" s="6">
        <f>[1]Receivers!H5</f>
        <v>2720.8</v>
      </c>
      <c r="C20" s="8">
        <v>510517</v>
      </c>
      <c r="D20" s="8">
        <f>390000+50000</f>
        <v>440000</v>
      </c>
      <c r="E20" s="8">
        <f>1151214-15100-121259+10000-390000-50000</f>
        <v>584855</v>
      </c>
      <c r="F20" s="8">
        <v>62654</v>
      </c>
      <c r="G20" s="8">
        <f>121259+15100+138000</f>
        <v>274359</v>
      </c>
      <c r="H20" s="8">
        <v>0</v>
      </c>
      <c r="I20" s="7">
        <f t="shared" si="0"/>
        <v>1872385</v>
      </c>
      <c r="L20" t="s">
        <v>20</v>
      </c>
      <c r="M20" s="6">
        <f t="shared" si="1"/>
        <v>2720.8</v>
      </c>
      <c r="N20" s="7">
        <v>1542000</v>
      </c>
      <c r="O20" s="7">
        <f t="shared" si="2"/>
        <v>1872385</v>
      </c>
      <c r="P20" s="7">
        <f t="shared" si="3"/>
        <v>566.74507497794764</v>
      </c>
      <c r="Q20" s="7">
        <f t="shared" si="3"/>
        <v>688.17443399000285</v>
      </c>
    </row>
    <row r="21" spans="1:17" x14ac:dyDescent="0.25">
      <c r="A21" t="s">
        <v>24</v>
      </c>
      <c r="B21" s="6">
        <f>[1]Exporters!H6</f>
        <v>1678.7</v>
      </c>
      <c r="C21" s="8">
        <f>59859+3440+37100+114029+6553+69293+17939</f>
        <v>308213</v>
      </c>
      <c r="D21" s="8">
        <f>360000+26000</f>
        <v>386000</v>
      </c>
      <c r="E21" s="8">
        <f>(878446+248644)-26000-59859-3440-37100-50000-114029-6553-69293-15000-360000-8250-17939+81162-500-3000</f>
        <v>437289</v>
      </c>
      <c r="F21" s="8">
        <v>3500</v>
      </c>
      <c r="G21" s="8">
        <f>50000+15000</f>
        <v>65000</v>
      </c>
      <c r="H21" s="8">
        <v>8250</v>
      </c>
      <c r="I21" s="7">
        <f t="shared" si="0"/>
        <v>1208252</v>
      </c>
      <c r="L21" t="s">
        <v>24</v>
      </c>
      <c r="M21" s="6">
        <f t="shared" si="1"/>
        <v>1678.7</v>
      </c>
      <c r="N21" s="7">
        <v>993900</v>
      </c>
      <c r="O21" s="7">
        <f t="shared" si="2"/>
        <v>1208252</v>
      </c>
      <c r="P21" s="7">
        <f t="shared" si="3"/>
        <v>592.06528861619108</v>
      </c>
      <c r="Q21" s="7">
        <f t="shared" si="3"/>
        <v>719.75457199023049</v>
      </c>
    </row>
    <row r="22" spans="1:17" x14ac:dyDescent="0.25">
      <c r="A22" t="s">
        <v>29</v>
      </c>
      <c r="B22" s="6">
        <f>[1]Exporters!H8</f>
        <v>900</v>
      </c>
      <c r="C22" s="8">
        <f>24724+15980</f>
        <v>40704</v>
      </c>
      <c r="D22" s="8">
        <f>5200+247500</f>
        <v>252700</v>
      </c>
      <c r="E22" s="8">
        <f>46333+800+3000+500+7854</f>
        <v>58487</v>
      </c>
      <c r="F22" s="8">
        <v>3500</v>
      </c>
      <c r="G22" s="8">
        <v>8500</v>
      </c>
      <c r="H22" s="8">
        <v>0</v>
      </c>
      <c r="I22" s="7">
        <f t="shared" si="0"/>
        <v>363891</v>
      </c>
      <c r="L22" t="s">
        <v>29</v>
      </c>
      <c r="M22" s="6">
        <f t="shared" si="1"/>
        <v>900</v>
      </c>
      <c r="N22" s="7">
        <v>356407</v>
      </c>
      <c r="O22" s="7">
        <f t="shared" si="2"/>
        <v>363891</v>
      </c>
      <c r="P22" s="7">
        <f t="shared" si="3"/>
        <v>396.00777777777779</v>
      </c>
      <c r="Q22" s="7">
        <f t="shared" si="3"/>
        <v>404.32333333333332</v>
      </c>
    </row>
    <row r="23" spans="1:17" x14ac:dyDescent="0.25">
      <c r="A23" t="s">
        <v>34</v>
      </c>
      <c r="B23" s="6">
        <f>'[1]Self Contained'!H5</f>
        <v>1259.25</v>
      </c>
      <c r="C23" s="8">
        <f>90300+85100+324500</f>
        <v>499900</v>
      </c>
      <c r="D23" s="8">
        <f>300000+70000+25000+150000</f>
        <v>545000</v>
      </c>
      <c r="E23" s="8">
        <f>1568751-C23-D23-F23-G23-H23</f>
        <v>383851</v>
      </c>
      <c r="F23" s="8">
        <v>75000</v>
      </c>
      <c r="G23" s="8">
        <f>5000+60000</f>
        <v>65000</v>
      </c>
      <c r="H23" s="8">
        <v>0</v>
      </c>
      <c r="I23" s="7">
        <f t="shared" si="0"/>
        <v>1568751</v>
      </c>
      <c r="L23" t="s">
        <v>34</v>
      </c>
      <c r="M23" s="6">
        <f t="shared" si="1"/>
        <v>1259.25</v>
      </c>
      <c r="N23" s="7">
        <v>1568751</v>
      </c>
      <c r="O23" s="7">
        <f t="shared" si="2"/>
        <v>1568751</v>
      </c>
      <c r="P23" s="7">
        <f t="shared" si="3"/>
        <v>1245.7820131030376</v>
      </c>
      <c r="Q23" s="7">
        <f t="shared" si="3"/>
        <v>1245.7820131030376</v>
      </c>
    </row>
    <row r="25" spans="1:17" x14ac:dyDescent="0.25">
      <c r="C25" s="12" t="s">
        <v>53</v>
      </c>
      <c r="D25" s="12"/>
      <c r="E25" s="12"/>
      <c r="F25" s="12"/>
      <c r="G25" s="12"/>
      <c r="H25" s="12"/>
    </row>
    <row r="26" spans="1:17" ht="60" x14ac:dyDescent="0.25">
      <c r="A26" s="2" t="s">
        <v>1</v>
      </c>
      <c r="B26" s="2" t="s">
        <v>41</v>
      </c>
      <c r="C26" s="4" t="s">
        <v>42</v>
      </c>
      <c r="D26" s="4" t="s">
        <v>43</v>
      </c>
      <c r="E26" s="4" t="s">
        <v>44</v>
      </c>
      <c r="F26" s="4" t="s">
        <v>45</v>
      </c>
      <c r="G26" s="4" t="s">
        <v>46</v>
      </c>
      <c r="H26" s="4" t="s">
        <v>47</v>
      </c>
      <c r="I26" s="4" t="s">
        <v>48</v>
      </c>
    </row>
    <row r="27" spans="1:17" x14ac:dyDescent="0.25">
      <c r="A27" t="s">
        <v>6</v>
      </c>
      <c r="B27" s="6">
        <f t="shared" ref="B27:B33" si="4">B17</f>
        <v>275.63249999999999</v>
      </c>
      <c r="C27" s="7">
        <f t="shared" ref="C27:I33" si="5">C17/$B27</f>
        <v>334.35708778899436</v>
      </c>
      <c r="D27" s="7">
        <f t="shared" si="5"/>
        <v>107.08697269008555</v>
      </c>
      <c r="E27" s="7">
        <f t="shared" si="5"/>
        <v>38.840158544438694</v>
      </c>
      <c r="F27" s="7">
        <f t="shared" si="5"/>
        <v>18.049177800150563</v>
      </c>
      <c r="G27" s="7">
        <f t="shared" si="5"/>
        <v>35.618477501745986</v>
      </c>
      <c r="H27" s="7">
        <f t="shared" si="5"/>
        <v>19.130545200584113</v>
      </c>
      <c r="I27" s="7">
        <f t="shared" si="5"/>
        <v>553.08241952599928</v>
      </c>
      <c r="J27" s="7"/>
    </row>
    <row r="28" spans="1:17" x14ac:dyDescent="0.25">
      <c r="A28" t="s">
        <v>11</v>
      </c>
      <c r="B28" s="6">
        <f t="shared" si="4"/>
        <v>346.52</v>
      </c>
      <c r="C28" s="7">
        <f t="shared" si="5"/>
        <v>471.99056331524883</v>
      </c>
      <c r="D28" s="7">
        <f t="shared" si="5"/>
        <v>0</v>
      </c>
      <c r="E28" s="7">
        <f t="shared" si="5"/>
        <v>67.586286505829392</v>
      </c>
      <c r="F28" s="7">
        <f t="shared" si="5"/>
        <v>5.050213551887337</v>
      </c>
      <c r="G28" s="7">
        <f t="shared" si="5"/>
        <v>115.30737042594944</v>
      </c>
      <c r="H28" s="7">
        <f t="shared" si="5"/>
        <v>7.2145907884104821</v>
      </c>
      <c r="I28" s="7">
        <f t="shared" si="5"/>
        <v>667.14902458732547</v>
      </c>
    </row>
    <row r="29" spans="1:17" x14ac:dyDescent="0.25">
      <c r="A29" t="s">
        <v>16</v>
      </c>
      <c r="B29" s="6">
        <f t="shared" si="4"/>
        <v>8200</v>
      </c>
      <c r="C29" s="7">
        <f t="shared" si="5"/>
        <v>41.092112195121949</v>
      </c>
      <c r="D29" s="7">
        <f t="shared" si="5"/>
        <v>528.82500000000005</v>
      </c>
      <c r="E29" s="7">
        <f t="shared" si="5"/>
        <v>125.38984756097561</v>
      </c>
      <c r="F29" s="7">
        <f t="shared" si="5"/>
        <v>5.1219512195121952</v>
      </c>
      <c r="G29" s="7">
        <f t="shared" si="5"/>
        <v>32.17048780487805</v>
      </c>
      <c r="H29" s="7">
        <f t="shared" si="5"/>
        <v>0</v>
      </c>
      <c r="I29" s="7">
        <f t="shared" si="5"/>
        <v>732.59939878048783</v>
      </c>
    </row>
    <row r="30" spans="1:17" x14ac:dyDescent="0.25">
      <c r="A30" t="s">
        <v>20</v>
      </c>
      <c r="B30" s="6">
        <f t="shared" si="4"/>
        <v>2720.8</v>
      </c>
      <c r="C30" s="7">
        <f t="shared" si="5"/>
        <v>187.63488679800057</v>
      </c>
      <c r="D30" s="7">
        <f t="shared" si="5"/>
        <v>161.71714201705379</v>
      </c>
      <c r="E30" s="7">
        <f t="shared" si="5"/>
        <v>214.95699794178182</v>
      </c>
      <c r="F30" s="7">
        <f t="shared" si="5"/>
        <v>23.0277859453102</v>
      </c>
      <c r="G30" s="7">
        <f t="shared" si="5"/>
        <v>100.83762128785651</v>
      </c>
      <c r="H30" s="7">
        <f t="shared" si="5"/>
        <v>0</v>
      </c>
      <c r="I30" s="7">
        <f t="shared" si="5"/>
        <v>688.17443399000285</v>
      </c>
    </row>
    <row r="31" spans="1:17" x14ac:dyDescent="0.25">
      <c r="A31" t="s">
        <v>24</v>
      </c>
      <c r="B31" s="6">
        <f t="shared" si="4"/>
        <v>1678.7</v>
      </c>
      <c r="C31" s="7">
        <f t="shared" si="5"/>
        <v>183.60219217251444</v>
      </c>
      <c r="D31" s="7">
        <f t="shared" si="5"/>
        <v>229.9398343956633</v>
      </c>
      <c r="E31" s="7">
        <f t="shared" si="5"/>
        <v>260.49264311669742</v>
      </c>
      <c r="F31" s="7">
        <f t="shared" si="5"/>
        <v>2.0849466849347711</v>
      </c>
      <c r="G31" s="7">
        <f t="shared" si="5"/>
        <v>38.720438434502888</v>
      </c>
      <c r="H31" s="7">
        <f t="shared" si="5"/>
        <v>4.9145171859176742</v>
      </c>
      <c r="I31" s="7">
        <f t="shared" si="5"/>
        <v>719.75457199023049</v>
      </c>
    </row>
    <row r="32" spans="1:17" x14ac:dyDescent="0.25">
      <c r="A32" t="s">
        <v>29</v>
      </c>
      <c r="B32" s="6">
        <f t="shared" si="4"/>
        <v>900</v>
      </c>
      <c r="C32" s="7">
        <f t="shared" si="5"/>
        <v>45.226666666666667</v>
      </c>
      <c r="D32" s="7">
        <f t="shared" si="5"/>
        <v>280.77777777777777</v>
      </c>
      <c r="E32" s="7">
        <f t="shared" si="5"/>
        <v>64.98555555555555</v>
      </c>
      <c r="F32" s="7">
        <f t="shared" si="5"/>
        <v>3.8888888888888888</v>
      </c>
      <c r="G32" s="7">
        <f t="shared" si="5"/>
        <v>9.4444444444444446</v>
      </c>
      <c r="H32" s="7">
        <f t="shared" si="5"/>
        <v>0</v>
      </c>
      <c r="I32" s="7">
        <f t="shared" si="5"/>
        <v>404.32333333333332</v>
      </c>
    </row>
    <row r="33" spans="1:9" x14ac:dyDescent="0.25">
      <c r="A33" t="s">
        <v>34</v>
      </c>
      <c r="B33" s="6">
        <f t="shared" si="4"/>
        <v>1259.25</v>
      </c>
      <c r="C33" s="7">
        <f t="shared" si="5"/>
        <v>396.98233075243201</v>
      </c>
      <c r="D33" s="7">
        <f t="shared" si="5"/>
        <v>432.79729998014693</v>
      </c>
      <c r="E33" s="7">
        <f t="shared" si="5"/>
        <v>304.82509430216396</v>
      </c>
      <c r="F33" s="7">
        <f t="shared" si="5"/>
        <v>59.559261465157832</v>
      </c>
      <c r="G33" s="7">
        <f t="shared" si="5"/>
        <v>51.618026603136791</v>
      </c>
      <c r="H33" s="7">
        <f t="shared" si="5"/>
        <v>0</v>
      </c>
      <c r="I33" s="7">
        <f t="shared" si="5"/>
        <v>1245.7820131030376</v>
      </c>
    </row>
    <row r="34" spans="1:9" x14ac:dyDescent="0.25">
      <c r="A34" s="2" t="s">
        <v>54</v>
      </c>
      <c r="B34" s="6"/>
      <c r="C34" s="5">
        <f t="shared" ref="C34:I34" si="6">AVERAGE(C27:C33)</f>
        <v>237.26940566985408</v>
      </c>
      <c r="D34" s="5">
        <f t="shared" si="6"/>
        <v>248.73486098010395</v>
      </c>
      <c r="E34" s="5">
        <f t="shared" si="6"/>
        <v>153.86808336106319</v>
      </c>
      <c r="F34" s="5">
        <f t="shared" si="6"/>
        <v>16.68317507940597</v>
      </c>
      <c r="G34" s="5">
        <f t="shared" si="6"/>
        <v>54.816695214644881</v>
      </c>
      <c r="H34" s="5">
        <f t="shared" si="6"/>
        <v>4.4656647392731816</v>
      </c>
      <c r="I34" s="5">
        <f t="shared" si="6"/>
        <v>715.83788504434517</v>
      </c>
    </row>
    <row r="35" spans="1:9" x14ac:dyDescent="0.25">
      <c r="A35" s="2"/>
    </row>
    <row r="36" spans="1:9" x14ac:dyDescent="0.25">
      <c r="C36" s="12" t="s">
        <v>55</v>
      </c>
      <c r="D36" s="12"/>
      <c r="E36" s="12"/>
      <c r="F36" s="12"/>
      <c r="G36" s="12"/>
      <c r="H36" s="12"/>
      <c r="I36" s="12"/>
    </row>
    <row r="37" spans="1:9" ht="60" x14ac:dyDescent="0.25">
      <c r="B37" s="2" t="s">
        <v>1</v>
      </c>
      <c r="C37" s="4" t="s">
        <v>42</v>
      </c>
      <c r="D37" s="4" t="s">
        <v>43</v>
      </c>
      <c r="E37" s="4" t="s">
        <v>44</v>
      </c>
      <c r="F37" s="4" t="s">
        <v>45</v>
      </c>
      <c r="G37" s="4" t="s">
        <v>46</v>
      </c>
      <c r="H37" s="4" t="s">
        <v>47</v>
      </c>
      <c r="I37" s="4" t="s">
        <v>48</v>
      </c>
    </row>
    <row r="38" spans="1:9" x14ac:dyDescent="0.25">
      <c r="B38" t="s">
        <v>6</v>
      </c>
      <c r="C38" s="3">
        <f t="shared" ref="C38:I44" si="7">C27/$I27</f>
        <v>0.60453392837100817</v>
      </c>
      <c r="D38" s="3">
        <f t="shared" si="7"/>
        <v>0.19361847151435557</v>
      </c>
      <c r="E38" s="3">
        <f t="shared" si="7"/>
        <v>7.02249017022189E-2</v>
      </c>
      <c r="F38" s="3">
        <f t="shared" si="7"/>
        <v>3.2633794101824834E-2</v>
      </c>
      <c r="G38" s="3">
        <f t="shared" si="7"/>
        <v>6.4399945187683966E-2</v>
      </c>
      <c r="H38" s="3">
        <f t="shared" si="7"/>
        <v>3.4588959122908484E-2</v>
      </c>
      <c r="I38" s="3">
        <f t="shared" si="7"/>
        <v>1</v>
      </c>
    </row>
    <row r="39" spans="1:9" x14ac:dyDescent="0.25">
      <c r="B39" t="s">
        <v>11</v>
      </c>
      <c r="C39" s="3">
        <f t="shared" si="7"/>
        <v>0.70747396146941133</v>
      </c>
      <c r="D39" s="3">
        <f t="shared" si="7"/>
        <v>0</v>
      </c>
      <c r="E39" s="3">
        <f t="shared" si="7"/>
        <v>0.10130613103666883</v>
      </c>
      <c r="F39" s="3">
        <f t="shared" si="7"/>
        <v>7.5698432670439986E-3</v>
      </c>
      <c r="G39" s="3">
        <f t="shared" si="7"/>
        <v>0.17283600241681304</v>
      </c>
      <c r="H39" s="3">
        <f t="shared" si="7"/>
        <v>1.0814061810062857E-2</v>
      </c>
      <c r="I39" s="3">
        <f t="shared" si="7"/>
        <v>1</v>
      </c>
    </row>
    <row r="40" spans="1:9" x14ac:dyDescent="0.25">
      <c r="B40" t="s">
        <v>16</v>
      </c>
      <c r="C40" s="3">
        <f t="shared" si="7"/>
        <v>5.6090835268941534E-2</v>
      </c>
      <c r="D40" s="3">
        <f t="shared" si="7"/>
        <v>0.72184743924210393</v>
      </c>
      <c r="E40" s="3">
        <f t="shared" si="7"/>
        <v>0.17115745354105424</v>
      </c>
      <c r="F40" s="3">
        <f t="shared" si="7"/>
        <v>6.9914761437675013E-3</v>
      </c>
      <c r="G40" s="3">
        <f t="shared" si="7"/>
        <v>4.3912795804132841E-2</v>
      </c>
      <c r="H40" s="3">
        <f t="shared" si="7"/>
        <v>0</v>
      </c>
      <c r="I40" s="3">
        <f t="shared" si="7"/>
        <v>1</v>
      </c>
    </row>
    <row r="41" spans="1:9" x14ac:dyDescent="0.25">
      <c r="B41" t="s">
        <v>20</v>
      </c>
      <c r="C41" s="3">
        <f t="shared" si="7"/>
        <v>0.27265599756460346</v>
      </c>
      <c r="D41" s="3">
        <f t="shared" si="7"/>
        <v>0.23499440553091377</v>
      </c>
      <c r="E41" s="3">
        <f t="shared" si="7"/>
        <v>0.31235830237905132</v>
      </c>
      <c r="F41" s="3">
        <f t="shared" si="7"/>
        <v>3.3462135191213348E-2</v>
      </c>
      <c r="G41" s="3">
        <f t="shared" si="7"/>
        <v>0.14652915933421815</v>
      </c>
      <c r="H41" s="3">
        <f t="shared" si="7"/>
        <v>0</v>
      </c>
      <c r="I41" s="3">
        <f t="shared" si="7"/>
        <v>1</v>
      </c>
    </row>
    <row r="42" spans="1:9" x14ac:dyDescent="0.25">
      <c r="B42" t="s">
        <v>24</v>
      </c>
      <c r="C42" s="3">
        <f t="shared" si="7"/>
        <v>0.25508999778191965</v>
      </c>
      <c r="D42" s="3">
        <f t="shared" si="7"/>
        <v>0.31946977948308797</v>
      </c>
      <c r="E42" s="3">
        <f t="shared" si="7"/>
        <v>0.36191870570046647</v>
      </c>
      <c r="F42" s="3">
        <f t="shared" si="7"/>
        <v>2.8967467051575339E-3</v>
      </c>
      <c r="G42" s="3">
        <f t="shared" si="7"/>
        <v>5.3796724524354196E-2</v>
      </c>
      <c r="H42" s="3">
        <f t="shared" si="7"/>
        <v>6.828045805014186E-3</v>
      </c>
      <c r="I42" s="3">
        <f t="shared" si="7"/>
        <v>1</v>
      </c>
    </row>
    <row r="43" spans="1:9" x14ac:dyDescent="0.25">
      <c r="B43" t="s">
        <v>29</v>
      </c>
      <c r="C43" s="3">
        <f t="shared" si="7"/>
        <v>0.1118576716654163</v>
      </c>
      <c r="D43" s="3">
        <f t="shared" si="7"/>
        <v>0.69443871928681944</v>
      </c>
      <c r="E43" s="3">
        <f t="shared" si="7"/>
        <v>0.16072670112753543</v>
      </c>
      <c r="F43" s="3">
        <f t="shared" si="7"/>
        <v>9.6182648100667512E-3</v>
      </c>
      <c r="G43" s="3">
        <f t="shared" si="7"/>
        <v>2.335864311016211E-2</v>
      </c>
      <c r="H43" s="3">
        <f t="shared" si="7"/>
        <v>0</v>
      </c>
      <c r="I43" s="3">
        <f t="shared" si="7"/>
        <v>1</v>
      </c>
    </row>
    <row r="44" spans="1:9" x14ac:dyDescent="0.25">
      <c r="B44" t="s">
        <v>34</v>
      </c>
      <c r="C44" s="3">
        <f t="shared" si="7"/>
        <v>0.31866115145105883</v>
      </c>
      <c r="D44" s="3">
        <f t="shared" si="7"/>
        <v>0.34741013710907592</v>
      </c>
      <c r="E44" s="3">
        <f t="shared" si="7"/>
        <v>0.24468574043936861</v>
      </c>
      <c r="F44" s="3">
        <f t="shared" si="7"/>
        <v>4.7808734464551736E-2</v>
      </c>
      <c r="G44" s="3">
        <f t="shared" si="7"/>
        <v>4.1434236535944836E-2</v>
      </c>
      <c r="H44" s="3">
        <f t="shared" si="7"/>
        <v>0</v>
      </c>
      <c r="I44" s="3">
        <f t="shared" si="7"/>
        <v>1</v>
      </c>
    </row>
    <row r="45" spans="1:9" x14ac:dyDescent="0.25">
      <c r="B45" s="2" t="s">
        <v>54</v>
      </c>
      <c r="C45" s="1">
        <f t="shared" ref="C45:H45" si="8">AVERAGE(C38:C44)</f>
        <v>0.33233764908176561</v>
      </c>
      <c r="D45" s="1">
        <f t="shared" si="8"/>
        <v>0.35882556459519382</v>
      </c>
      <c r="E45" s="1">
        <f t="shared" si="8"/>
        <v>0.20319684798948054</v>
      </c>
      <c r="F45" s="1">
        <f t="shared" si="8"/>
        <v>2.0140142097660817E-2</v>
      </c>
      <c r="G45" s="1">
        <f t="shared" si="8"/>
        <v>7.8038215273329867E-2</v>
      </c>
      <c r="H45" s="1">
        <f t="shared" si="8"/>
        <v>7.4615809625693608E-3</v>
      </c>
    </row>
  </sheetData>
  <mergeCells count="4">
    <mergeCell ref="A1:H3"/>
    <mergeCell ref="C15:H15"/>
    <mergeCell ref="C25:H25"/>
    <mergeCell ref="C36:I36"/>
  </mergeCells>
  <hyperlinks>
    <hyperlink ref="E7" r:id="rId1" xr:uid="{832BCD39-210D-4A61-B355-2DC0C967DAA4}"/>
    <hyperlink ref="E8" r:id="rId2" xr:uid="{07DFE4BE-B811-40FD-87F8-FD431CD8EBC0}"/>
    <hyperlink ref="E11" r:id="rId3" xr:uid="{6CED296A-65A6-4F62-9E4D-5DBA32BD94E0}"/>
    <hyperlink ref="E12" r:id="rId4" xr:uid="{EC692B43-51C5-42B2-A98D-05701D516283}"/>
    <hyperlink ref="E10" r:id="rId5" xr:uid="{EDD30521-64ED-4CC7-9F39-64DA80529AA0}"/>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E679-ADD2-47E8-BD91-ECDB6656755B}">
  <dimension ref="A1:Q2"/>
  <sheetViews>
    <sheetView workbookViewId="0">
      <selection activeCell="L2" sqref="L2"/>
    </sheetView>
  </sheetViews>
  <sheetFormatPr defaultRowHeight="15" x14ac:dyDescent="0.25"/>
  <cols>
    <col min="1" max="1" width="16.7109375" customWidth="1"/>
    <col min="2" max="2" width="22.140625" customWidth="1"/>
    <col min="3" max="3" width="14.5703125" customWidth="1"/>
    <col min="4" max="4" width="19.28515625" customWidth="1"/>
    <col min="5" max="5" width="36" customWidth="1"/>
    <col min="6" max="6" width="14" customWidth="1"/>
    <col min="7" max="7" width="29.85546875" customWidth="1"/>
    <col min="8" max="8" width="13.140625" customWidth="1"/>
    <col min="9" max="9" width="12.28515625" customWidth="1"/>
  </cols>
  <sheetData>
    <row r="1" spans="1:17" ht="60" x14ac:dyDescent="0.25">
      <c r="A1" s="2" t="s">
        <v>1</v>
      </c>
      <c r="B1" s="4" t="s">
        <v>41</v>
      </c>
      <c r="C1" s="4" t="s">
        <v>42</v>
      </c>
      <c r="D1" s="4" t="s">
        <v>43</v>
      </c>
      <c r="E1" s="4" t="s">
        <v>44</v>
      </c>
      <c r="F1" s="4" t="s">
        <v>45</v>
      </c>
      <c r="G1" s="4" t="s">
        <v>46</v>
      </c>
      <c r="H1" s="4" t="s">
        <v>47</v>
      </c>
      <c r="I1" s="4" t="s">
        <v>48</v>
      </c>
      <c r="J1" s="4" t="s">
        <v>56</v>
      </c>
      <c r="L1" s="2" t="s">
        <v>1</v>
      </c>
      <c r="M1" s="4" t="s">
        <v>41</v>
      </c>
      <c r="N1" s="2" t="s">
        <v>49</v>
      </c>
      <c r="O1" s="2" t="s">
        <v>50</v>
      </c>
      <c r="P1" s="2" t="s">
        <v>51</v>
      </c>
      <c r="Q1" s="2" t="s">
        <v>52</v>
      </c>
    </row>
    <row r="2" spans="1:17" x14ac:dyDescent="0.25">
      <c r="A2" t="s">
        <v>57</v>
      </c>
      <c r="B2" s="6">
        <v>900</v>
      </c>
      <c r="C2" s="8">
        <v>0</v>
      </c>
      <c r="D2" s="8">
        <v>185000</v>
      </c>
      <c r="E2" s="8">
        <v>332000</v>
      </c>
      <c r="F2" s="8">
        <v>0</v>
      </c>
      <c r="G2" s="8">
        <v>0</v>
      </c>
      <c r="H2" s="8">
        <v>0</v>
      </c>
      <c r="I2" s="7">
        <f>SUM(C2:H2)</f>
        <v>517000</v>
      </c>
      <c r="J2" s="7">
        <f>I2/B2</f>
        <v>574.44444444444446</v>
      </c>
      <c r="L2" t="s">
        <v>6</v>
      </c>
      <c r="M2" s="6">
        <f>B2</f>
        <v>900</v>
      </c>
      <c r="N2" s="7">
        <v>142682.39000000001</v>
      </c>
      <c r="O2" s="7">
        <f>I2</f>
        <v>517000</v>
      </c>
      <c r="P2" s="7">
        <f>N2/$M2</f>
        <v>158.53598888888891</v>
      </c>
      <c r="Q2" s="7">
        <f>O2/$M2</f>
        <v>574.44444444444446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9B3F880CD1F7418E1D39E1574DA95B" ma:contentTypeVersion="16" ma:contentTypeDescription="Create a new document." ma:contentTypeScope="" ma:versionID="f59938866d2f1c72ffc7aa26d0364c76">
  <xsd:schema xmlns:xsd="http://www.w3.org/2001/XMLSchema" xmlns:xs="http://www.w3.org/2001/XMLSchema" xmlns:p="http://schemas.microsoft.com/office/2006/metadata/properties" xmlns:ns2="7f3dd1b7-a7c7-45a3-9ea4-abf519fe07f1" xmlns:ns3="a59b4049-6a6c-4c45-b53f-dc246e92216a" targetNamespace="http://schemas.microsoft.com/office/2006/metadata/properties" ma:root="true" ma:fieldsID="edaa0f397c1d4af4b7fb439c43b51737" ns2:_="" ns3:_="">
    <xsd:import namespace="7f3dd1b7-a7c7-45a3-9ea4-abf519fe07f1"/>
    <xsd:import namespace="a59b4049-6a6c-4c45-b53f-dc246e9221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3dd1b7-a7c7-45a3-9ea4-abf519fe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b58f57-b036-48ef-9d27-58fe1603204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b4049-6a6c-4c45-b53f-dc246e9221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75b92d9-5438-4fc7-9508-29a74d9730e9}" ma:internalName="TaxCatchAll" ma:showField="CatchAllData" ma:web="a59b4049-6a6c-4c45-b53f-dc246e9221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9b4049-6a6c-4c45-b53f-dc246e92216a" xsi:nil="true"/>
    <lcf76f155ced4ddcb4097134ff3c332f xmlns="7f3dd1b7-a7c7-45a3-9ea4-abf519fe07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C3DD8A-7239-41B9-8019-028A929CF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3dd1b7-a7c7-45a3-9ea4-abf519fe07f1"/>
    <ds:schemaRef ds:uri="a59b4049-6a6c-4c45-b53f-dc246e9221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321AD-37FC-4A47-A7DD-679A52F20D49}">
  <ds:schemaRefs>
    <ds:schemaRef ds:uri="http://schemas.microsoft.com/sharepoint/v3/contenttype/forms"/>
  </ds:schemaRefs>
</ds:datastoreItem>
</file>

<file path=customXml/itemProps3.xml><?xml version="1.0" encoding="utf-8"?>
<ds:datastoreItem xmlns:ds="http://schemas.openxmlformats.org/officeDocument/2006/customXml" ds:itemID="{57682714-EFC5-419B-B103-9F2FD3AB08A3}">
  <ds:schemaRefs>
    <ds:schemaRef ds:uri="http://schemas.microsoft.com/office/2006/metadata/properties"/>
    <ds:schemaRef ds:uri="http://schemas.microsoft.com/office/infopath/2007/PartnerControls"/>
    <ds:schemaRef ds:uri="a59b4049-6a6c-4c45-b53f-dc246e92216a"/>
    <ds:schemaRef ds:uri="7f3dd1b7-a7c7-45a3-9ea4-abf519fe07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Follow-Up Communities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Colleen Young</dc:creator>
  <cp:keywords/>
  <dc:description/>
  <cp:lastModifiedBy>Sara Shutt</cp:lastModifiedBy>
  <cp:revision/>
  <dcterms:created xsi:type="dcterms:W3CDTF">2026-01-23T19:50:20Z</dcterms:created>
  <dcterms:modified xsi:type="dcterms:W3CDTF">2026-04-01T21:55:35Z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0x010100E69B3F880CD1F7418E1D39E1574DA95B</vt:lpwstr>
  </property>
  <property fmtid="{D5CDD505-2E9C-101B-9397-08002B2CF9AE}" pid="3" name="MediaServiceImageTags">
    <vt:lpwstr/>
  </property>
</Properties>
</file>